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filterPrivacy="1" codeName="ThisWorkbook" defaultThemeVersion="124226"/>
  <xr:revisionPtr revIDLastSave="0" documentId="13_ncr:1_{87D8979C-E4D3-478E-9641-7F5144B5AC7D}" xr6:coauthVersionLast="47" xr6:coauthVersionMax="47" xr10:uidLastSave="{00000000-0000-0000-0000-000000000000}"/>
  <workbookProtection workbookAlgorithmName="SHA-512" workbookHashValue="3jbdgt390BCzsct/1fV5SJtGP3edJAJtRQqS8XI1MGlfjiLzaCEjhWCpntQduVvxWuyQB1mC8RzKjYlnByW6TQ==" workbookSaltValue="cvrO2Nfy/3+hIbn2BARhEA==" workbookSpinCount="100000" lockStructure="1"/>
  <bookViews>
    <workbookView xWindow="-120" yWindow="-120" windowWidth="20730" windowHeight="11040" tabRatio="911" xr2:uid="{00000000-000D-0000-FFFF-FFFF00000000}"/>
  </bookViews>
  <sheets>
    <sheet name="Annual 2019-20" sheetId="15" r:id="rId1"/>
    <sheet name="Working Sheet" sheetId="17" state="hidden" r:id="rId2"/>
    <sheet name="Working Sheet BI" sheetId="20" state="hidden" r:id="rId3"/>
    <sheet name="Working Sheet AOP" sheetId="18" state="hidden" r:id="rId4"/>
  </sheets>
  <definedNames>
    <definedName name="_xlnm.Print_Area" localSheetId="0">'Annual 2019-20'!$C$1:$H$28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7" i="15" l="1"/>
  <c r="F26" i="15"/>
  <c r="F25" i="15"/>
  <c r="F24" i="15"/>
  <c r="F23" i="15"/>
  <c r="F22" i="15"/>
  <c r="F21" i="15"/>
  <c r="F20" i="15"/>
  <c r="F19" i="15"/>
  <c r="F18" i="15"/>
  <c r="F17" i="15"/>
  <c r="F16" i="15"/>
  <c r="AM17" i="18" l="1"/>
  <c r="AM16" i="18"/>
  <c r="AM15" i="18"/>
  <c r="AM14" i="18"/>
  <c r="AM13" i="18"/>
  <c r="AM12" i="18"/>
  <c r="AM11" i="18"/>
  <c r="AM8" i="18"/>
  <c r="I15" i="15"/>
  <c r="I14" i="15"/>
  <c r="K13" i="15"/>
  <c r="K14" i="15" s="1"/>
  <c r="I13" i="15"/>
  <c r="I12" i="15"/>
  <c r="I11" i="15"/>
  <c r="I10" i="15"/>
  <c r="AM8" i="20"/>
  <c r="AM18" i="17" l="1"/>
  <c r="AM11" i="20" l="1"/>
  <c r="AM17" i="20" l="1"/>
  <c r="AM16" i="20"/>
  <c r="AM15" i="20"/>
  <c r="AM14" i="20"/>
  <c r="AM13" i="20"/>
  <c r="AM12" i="20"/>
  <c r="AA7" i="20"/>
  <c r="AD7" i="20" s="1"/>
  <c r="J1" i="20"/>
  <c r="AM13" i="17"/>
  <c r="AM14" i="17"/>
  <c r="AM15" i="17"/>
  <c r="AM16" i="17"/>
  <c r="AM17" i="17"/>
  <c r="AM12" i="17"/>
  <c r="AE7" i="20" l="1"/>
  <c r="AB7" i="20"/>
  <c r="AA7" i="18"/>
  <c r="AF7" i="18" l="1"/>
  <c r="AB7" i="18"/>
  <c r="AC7" i="20"/>
  <c r="AF7" i="20"/>
  <c r="AG7" i="20" s="1"/>
  <c r="AH7" i="20" s="1"/>
  <c r="AJ7" i="20" s="1"/>
  <c r="AK7" i="20" s="1"/>
  <c r="AE7" i="18"/>
  <c r="AD7" i="18"/>
  <c r="AG7" i="18" l="1"/>
  <c r="AH7" i="18" s="1"/>
  <c r="P2" i="18"/>
  <c r="AA7" i="17"/>
  <c r="AD7" i="17" l="1"/>
  <c r="AE7" i="17"/>
  <c r="AB7" i="17"/>
  <c r="AC7" i="17" s="1"/>
  <c r="J1" i="17"/>
  <c r="G14" i="15" l="1"/>
  <c r="F14" i="15"/>
  <c r="F15" i="15" l="1"/>
  <c r="F12" i="15"/>
  <c r="AJ7" i="18" l="1"/>
  <c r="AK7" i="18" s="1"/>
  <c r="AC7" i="18"/>
  <c r="AF7" i="17" l="1"/>
  <c r="AG7" i="17" s="1"/>
  <c r="AH7" i="17" s="1"/>
  <c r="G13" i="15" s="1"/>
  <c r="K15" i="15" s="1"/>
  <c r="AJ7" i="17" l="1"/>
  <c r="AK7" i="17" s="1"/>
</calcChain>
</file>

<file path=xl/sharedStrings.xml><?xml version="1.0" encoding="utf-8"?>
<sst xmlns="http://schemas.openxmlformats.org/spreadsheetml/2006/main" count="65" uniqueCount="33">
  <si>
    <t>ANNUAL SALARY</t>
  </si>
  <si>
    <t>MIN RANGE</t>
  </si>
  <si>
    <t>MAX RANGE</t>
  </si>
  <si>
    <t>PERCENTAGE</t>
  </si>
  <si>
    <t>ADDITIONAL AMOUNT</t>
  </si>
  <si>
    <t>%AS PER RANGES</t>
  </si>
  <si>
    <t>MONTHLY TAX</t>
  </si>
  <si>
    <t>ADDING AMOUNT AS PER ANNUAL SAL TO THE PERCENTAGE</t>
  </si>
  <si>
    <t>Tax Already Deducted</t>
  </si>
  <si>
    <t>Remaining Liability</t>
  </si>
  <si>
    <t>Fixed Tax for Slab</t>
  </si>
  <si>
    <t>Amount Exceeding the Lower Limit</t>
  </si>
  <si>
    <t>Tax on Amout Exceeding the Lower Limit</t>
  </si>
  <si>
    <t>EMAIL US</t>
  </si>
  <si>
    <t>WEBSITE</t>
  </si>
  <si>
    <t>INDICATIVE CALCULATIONS ONLY</t>
  </si>
  <si>
    <t>THIS IS AN INDICATIVE CALCULATION ONLY BASED ON YOUR INPUT</t>
  </si>
  <si>
    <t>PLEASE CONSULT A PROFESSIONAL ADVISOR FOR ACCURATE CALCULATIONS</t>
  </si>
  <si>
    <t>Tax Payer Type</t>
  </si>
  <si>
    <t>Salary / Income Frequency</t>
  </si>
  <si>
    <t>Your Annual Tax Liability is</t>
  </si>
  <si>
    <t>REQUIRES MS EXCEL 2010 OR ABOVE</t>
  </si>
  <si>
    <t>TAX CALCULATOR 2019 - 20 V6.0</t>
  </si>
  <si>
    <t>PAY SPECIFIC ATTENTION TO MINIMUM TAX</t>
  </si>
  <si>
    <t>WHERE APPLICABLE</t>
  </si>
  <si>
    <t>Javaid Islam &amp; Co</t>
  </si>
  <si>
    <t>Consulting par excellence</t>
  </si>
  <si>
    <t>webquery@jico.pk</t>
  </si>
  <si>
    <t>https://www.jico.pk</t>
  </si>
  <si>
    <t>https://www.taxlaws.pk</t>
  </si>
  <si>
    <t>https://www.corporatelaws.pk</t>
  </si>
  <si>
    <t>Monthly</t>
  </si>
  <si>
    <t>AOP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</si>
</sst>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0.000%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0"/>
      <color theme="4"/>
      <name val="Calibri"/>
      <family val="2"/>
      <scheme val="minor"/>
    </font>
    <font>
      <sz val="10"/>
      <color theme="4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theme="6" tint="-0.249977111117893"/>
      <name val="Cambria"/>
      <family val="1"/>
      <scheme val="major"/>
    </font>
    <font>
      <u/>
      <sz val="11"/>
      <color theme="10"/>
      <name val="Calibri"/>
      <family val="2"/>
      <scheme val="minor"/>
    </font>
    <font>
      <sz val="11"/>
      <color rgb="FF0033CC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theme="8" tint="-0.249977111117893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6"/>
      <color theme="3" tint="0.39997558519241921"/>
      <name val="Arial Black"/>
      <family val="2"/>
    </font>
    <font>
      <sz val="18"/>
      <color rgb="FFFF6600"/>
      <name val="Bahnschrift Light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2" applyNumberFormat="0" applyFill="0" applyAlignment="0" applyProtection="0"/>
    <xf numFmtId="0" fontId="9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54">
    <xf numFmtId="0" fontId="0" fillId="0" borderId="0" xfId="0"/>
    <xf numFmtId="164" fontId="0" fillId="0" borderId="0" xfId="1" applyNumberFormat="1" applyFont="1"/>
    <xf numFmtId="0" fontId="0" fillId="0" borderId="0" xfId="0" applyNumberFormat="1"/>
    <xf numFmtId="0" fontId="4" fillId="0" borderId="0" xfId="0" applyFont="1"/>
    <xf numFmtId="43" fontId="4" fillId="0" borderId="0" xfId="1" applyFont="1"/>
    <xf numFmtId="165" fontId="0" fillId="0" borderId="0" xfId="0" applyNumberFormat="1"/>
    <xf numFmtId="165" fontId="0" fillId="0" borderId="0" xfId="1" applyNumberFormat="1" applyFont="1"/>
    <xf numFmtId="0" fontId="0" fillId="0" borderId="0" xfId="0" applyBorder="1"/>
    <xf numFmtId="164" fontId="0" fillId="0" borderId="0" xfId="1" applyNumberFormat="1" applyFont="1" applyBorder="1"/>
    <xf numFmtId="0" fontId="9" fillId="0" borderId="0" xfId="4"/>
    <xf numFmtId="0" fontId="10" fillId="0" borderId="0" xfId="0" quotePrefix="1" applyFont="1"/>
    <xf numFmtId="0" fontId="7" fillId="0" borderId="0" xfId="0" applyFont="1" applyBorder="1" applyAlignment="1"/>
    <xf numFmtId="164" fontId="7" fillId="0" borderId="0" xfId="1" applyNumberFormat="1" applyFont="1" applyAlignment="1"/>
    <xf numFmtId="0" fontId="11" fillId="0" borderId="0" xfId="0" applyFont="1" applyBorder="1" applyAlignment="1"/>
    <xf numFmtId="0" fontId="12" fillId="0" borderId="0" xfId="0" applyFont="1" applyBorder="1" applyAlignment="1"/>
    <xf numFmtId="164" fontId="13" fillId="0" borderId="0" xfId="1" applyNumberFormat="1" applyFont="1" applyBorder="1"/>
    <xf numFmtId="164" fontId="0" fillId="0" borderId="0" xfId="1" applyNumberFormat="1" applyFont="1" applyBorder="1" applyProtection="1">
      <protection locked="0"/>
    </xf>
    <xf numFmtId="164" fontId="11" fillId="0" borderId="0" xfId="1" applyNumberFormat="1" applyFont="1" applyProtection="1">
      <protection locked="0"/>
    </xf>
    <xf numFmtId="164" fontId="7" fillId="0" borderId="0" xfId="1" applyNumberFormat="1" applyFont="1" applyBorder="1"/>
    <xf numFmtId="0" fontId="14" fillId="0" borderId="0" xfId="0" applyFont="1" applyAlignment="1">
      <alignment horizontal="left"/>
    </xf>
    <xf numFmtId="0" fontId="15" fillId="0" borderId="0" xfId="0" applyFont="1"/>
    <xf numFmtId="0" fontId="0" fillId="0" borderId="0" xfId="0" applyProtection="1">
      <protection hidden="1"/>
    </xf>
    <xf numFmtId="164" fontId="0" fillId="0" borderId="0" xfId="1" applyNumberFormat="1" applyFont="1" applyProtection="1">
      <protection hidden="1"/>
    </xf>
    <xf numFmtId="0" fontId="4" fillId="0" borderId="0" xfId="0" applyFont="1" applyProtection="1">
      <protection hidden="1"/>
    </xf>
    <xf numFmtId="43" fontId="4" fillId="0" borderId="0" xfId="1" applyFont="1" applyProtection="1">
      <protection hidden="1"/>
    </xf>
    <xf numFmtId="164" fontId="2" fillId="0" borderId="1" xfId="1" applyNumberFormat="1" applyFont="1" applyBorder="1" applyAlignment="1" applyProtection="1">
      <alignment horizontal="center" wrapText="1"/>
      <protection hidden="1"/>
    </xf>
    <xf numFmtId="0" fontId="2" fillId="0" borderId="1" xfId="0" applyFont="1" applyBorder="1" applyAlignment="1" applyProtection="1">
      <alignment horizontal="center" wrapText="1"/>
      <protection hidden="1"/>
    </xf>
    <xf numFmtId="0" fontId="2" fillId="0" borderId="1" xfId="0" applyFont="1" applyBorder="1" applyAlignment="1" applyProtection="1">
      <alignment horizontal="center"/>
      <protection hidden="1"/>
    </xf>
    <xf numFmtId="0" fontId="3" fillId="0" borderId="1" xfId="0" applyFont="1" applyBorder="1" applyAlignment="1" applyProtection="1">
      <alignment horizontal="center"/>
      <protection hidden="1"/>
    </xf>
    <xf numFmtId="43" fontId="3" fillId="0" borderId="1" xfId="1" applyFont="1" applyBorder="1" applyAlignment="1" applyProtection="1">
      <alignment horizontal="center"/>
      <protection hidden="1"/>
    </xf>
    <xf numFmtId="43" fontId="0" fillId="0" borderId="0" xfId="1" applyNumberFormat="1" applyFont="1" applyProtection="1">
      <protection hidden="1"/>
    </xf>
    <xf numFmtId="165" fontId="0" fillId="0" borderId="0" xfId="0" applyNumberFormat="1" applyProtection="1">
      <protection hidden="1"/>
    </xf>
    <xf numFmtId="165" fontId="0" fillId="0" borderId="0" xfId="1" applyNumberFormat="1" applyFont="1" applyProtection="1">
      <protection hidden="1"/>
    </xf>
    <xf numFmtId="10" fontId="4" fillId="0" borderId="0" xfId="1" applyNumberFormat="1" applyFont="1" applyProtection="1">
      <protection hidden="1"/>
    </xf>
    <xf numFmtId="0" fontId="3" fillId="0" borderId="1" xfId="0" applyFont="1" applyBorder="1" applyAlignment="1" applyProtection="1">
      <alignment horizontal="center" vertical="center" wrapText="1"/>
      <protection hidden="1"/>
    </xf>
    <xf numFmtId="43" fontId="3" fillId="0" borderId="1" xfId="1" applyFont="1" applyBorder="1" applyAlignment="1" applyProtection="1">
      <alignment horizontal="center" vertical="center" wrapText="1"/>
      <protection hidden="1"/>
    </xf>
    <xf numFmtId="164" fontId="4" fillId="0" borderId="0" xfId="1" applyNumberFormat="1" applyFont="1" applyProtection="1">
      <protection hidden="1"/>
    </xf>
    <xf numFmtId="164" fontId="0" fillId="2" borderId="3" xfId="1" applyNumberFormat="1" applyFont="1" applyFill="1" applyBorder="1"/>
    <xf numFmtId="164" fontId="0" fillId="2" borderId="4" xfId="1" applyNumberFormat="1" applyFont="1" applyFill="1" applyBorder="1"/>
    <xf numFmtId="164" fontId="0" fillId="2" borderId="5" xfId="1" applyNumberFormat="1" applyFont="1" applyFill="1" applyBorder="1"/>
    <xf numFmtId="164" fontId="0" fillId="2" borderId="6" xfId="1" applyNumberFormat="1" applyFont="1" applyFill="1" applyBorder="1"/>
    <xf numFmtId="164" fontId="0" fillId="2" borderId="0" xfId="1" applyNumberFormat="1" applyFont="1" applyFill="1" applyBorder="1"/>
    <xf numFmtId="164" fontId="0" fillId="2" borderId="7" xfId="1" applyNumberFormat="1" applyFont="1" applyFill="1" applyBorder="1"/>
    <xf numFmtId="166" fontId="0" fillId="2" borderId="7" xfId="5" applyNumberFormat="1" applyFont="1" applyFill="1" applyBorder="1"/>
    <xf numFmtId="164" fontId="7" fillId="2" borderId="6" xfId="1" applyNumberFormat="1" applyFont="1" applyFill="1" applyBorder="1"/>
    <xf numFmtId="164" fontId="17" fillId="2" borderId="8" xfId="1" applyNumberFormat="1" applyFont="1" applyFill="1" applyBorder="1"/>
    <xf numFmtId="164" fontId="17" fillId="2" borderId="9" xfId="1" applyNumberFormat="1" applyFont="1" applyFill="1" applyBorder="1"/>
    <xf numFmtId="164" fontId="17" fillId="2" borderId="10" xfId="1" applyNumberFormat="1" applyFont="1" applyFill="1" applyBorder="1"/>
    <xf numFmtId="0" fontId="16" fillId="0" borderId="0" xfId="0" applyFont="1" applyProtection="1">
      <protection hidden="1"/>
    </xf>
    <xf numFmtId="164" fontId="0" fillId="2" borderId="11" xfId="1" applyNumberFormat="1" applyFont="1" applyFill="1" applyBorder="1" applyProtection="1">
      <protection locked="0"/>
    </xf>
    <xf numFmtId="164" fontId="7" fillId="0" borderId="0" xfId="1" applyNumberFormat="1" applyFont="1" applyAlignment="1">
      <alignment horizontal="left"/>
    </xf>
    <xf numFmtId="0" fontId="19" fillId="0" borderId="0" xfId="0" applyFont="1" applyAlignment="1">
      <alignment horizontal="left"/>
    </xf>
    <xf numFmtId="0" fontId="18" fillId="0" borderId="0" xfId="3" applyFont="1" applyBorder="1" applyAlignment="1">
      <alignment horizontal="left"/>
    </xf>
    <xf numFmtId="0" fontId="8" fillId="0" borderId="0" xfId="2" applyFont="1" applyAlignment="1">
      <alignment horizontal="left"/>
    </xf>
  </cellXfs>
  <cellStyles count="6">
    <cellStyle name="Comma" xfId="1" builtinId="3"/>
    <cellStyle name="Heading 1" xfId="3" builtinId="16"/>
    <cellStyle name="Hyperlink" xfId="4" builtinId="8"/>
    <cellStyle name="Normal" xfId="0" builtinId="0"/>
    <cellStyle name="Percent" xfId="5" builtinId="5"/>
    <cellStyle name="Title" xfId="2" builtinId="15"/>
  </cellStyles>
  <dxfs count="5"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colors>
    <mruColors>
      <color rgb="FFFF6600"/>
      <color rgb="FF0033CC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16149</xdr:rowOff>
    </xdr:from>
    <xdr:to>
      <xdr:col>2</xdr:col>
      <xdr:colOff>1005840</xdr:colOff>
      <xdr:row>6</xdr:row>
      <xdr:rowOff>56241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9A64C02-8CB6-454A-9C41-105B3291D2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361950" y="16149"/>
          <a:ext cx="1005840" cy="9735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axlaws.pk/" TargetMode="External"/><Relationship Id="rId2" Type="http://schemas.openxmlformats.org/officeDocument/2006/relationships/hyperlink" Target="https://www.jico.pk/" TargetMode="External"/><Relationship Id="rId1" Type="http://schemas.openxmlformats.org/officeDocument/2006/relationships/hyperlink" Target="mailto:webquery@jico.pk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corporatelaws.pk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C1:R56"/>
  <sheetViews>
    <sheetView showGridLines="0" tabSelected="1" workbookViewId="0">
      <selection activeCell="G11" sqref="G11"/>
    </sheetView>
  </sheetViews>
  <sheetFormatPr defaultRowHeight="15" x14ac:dyDescent="0.25"/>
  <cols>
    <col min="1" max="2" width="2.7109375" customWidth="1"/>
    <col min="3" max="3" width="29.85546875" style="1" customWidth="1"/>
    <col min="4" max="4" width="37.5703125" style="1" customWidth="1"/>
    <col min="5" max="5" width="2.7109375" customWidth="1"/>
    <col min="6" max="6" width="31.42578125" bestFit="1" customWidth="1"/>
    <col min="7" max="7" width="19.7109375" bestFit="1" customWidth="1"/>
    <col min="8" max="8" width="10.7109375" style="1" customWidth="1"/>
    <col min="9" max="9" width="12" style="1" customWidth="1"/>
    <col min="10" max="10" width="20.42578125" style="1" customWidth="1"/>
    <col min="11" max="12" width="14.7109375" style="1" customWidth="1"/>
    <col min="13" max="13" width="12.140625" style="1" bestFit="1" customWidth="1"/>
    <col min="15" max="15" width="22.140625" style="3" bestFit="1" customWidth="1"/>
    <col min="16" max="16" width="11.7109375" style="3" bestFit="1" customWidth="1"/>
    <col min="17" max="17" width="14.7109375" style="4" bestFit="1" customWidth="1"/>
    <col min="18" max="18" width="20.85546875" style="3" bestFit="1" customWidth="1"/>
  </cols>
  <sheetData>
    <row r="1" spans="3:11" ht="15.75" x14ac:dyDescent="0.25">
      <c r="D1" s="19" t="s">
        <v>15</v>
      </c>
      <c r="F1" s="20" t="s">
        <v>21</v>
      </c>
    </row>
    <row r="2" spans="3:11" x14ac:dyDescent="0.25">
      <c r="D2" s="18" t="s">
        <v>23</v>
      </c>
      <c r="F2" s="7"/>
    </row>
    <row r="3" spans="3:11" x14ac:dyDescent="0.25">
      <c r="D3" s="18" t="s">
        <v>24</v>
      </c>
      <c r="E3" s="7"/>
      <c r="F3" s="7"/>
      <c r="G3" s="7"/>
    </row>
    <row r="4" spans="3:11" x14ac:dyDescent="0.25">
      <c r="C4" s="8"/>
      <c r="D4" s="18"/>
      <c r="F4" s="7"/>
      <c r="G4" s="7"/>
      <c r="H4" s="8"/>
    </row>
    <row r="5" spans="3:11" ht="6.75" customHeight="1" x14ac:dyDescent="0.25">
      <c r="C5" s="8"/>
      <c r="D5" s="8"/>
      <c r="F5" s="7"/>
      <c r="G5" s="7"/>
      <c r="H5" s="8"/>
    </row>
    <row r="6" spans="3:11" ht="6" customHeight="1" x14ac:dyDescent="0.25">
      <c r="H6" s="8"/>
    </row>
    <row r="7" spans="3:11" ht="24.75" x14ac:dyDescent="0.5">
      <c r="C7" s="52" t="s">
        <v>25</v>
      </c>
      <c r="D7" s="52"/>
      <c r="F7" s="8"/>
      <c r="G7" s="8"/>
      <c r="H7" s="8"/>
    </row>
    <row r="8" spans="3:11" ht="22.5" x14ac:dyDescent="0.3">
      <c r="C8" s="51" t="s">
        <v>26</v>
      </c>
      <c r="D8" s="51"/>
      <c r="E8" s="7"/>
      <c r="F8" s="15" t="s">
        <v>22</v>
      </c>
      <c r="G8" s="8"/>
      <c r="H8" s="8"/>
    </row>
    <row r="9" spans="3:11" ht="15.75" thickBot="1" x14ac:dyDescent="0.3">
      <c r="C9" s="53"/>
      <c r="D9" s="53"/>
      <c r="E9" s="7"/>
      <c r="F9" s="8"/>
      <c r="G9" s="8"/>
      <c r="H9" s="8"/>
    </row>
    <row r="10" spans="3:11" x14ac:dyDescent="0.25">
      <c r="C10" s="53"/>
      <c r="D10" s="53"/>
      <c r="E10" s="7"/>
      <c r="F10" s="8" t="s">
        <v>18</v>
      </c>
      <c r="G10" s="16" t="s">
        <v>32</v>
      </c>
      <c r="H10" s="8"/>
      <c r="I10" s="37" t="str">
        <f>IF(G10="Salaried Individual","","MINIMUM TAX FOR BUSINESS INDIVIDUAL")</f>
        <v>MINIMUM TAX FOR BUSINESS INDIVIDUAL</v>
      </c>
      <c r="J10" s="38"/>
      <c r="K10" s="39"/>
    </row>
    <row r="11" spans="3:11" x14ac:dyDescent="0.25">
      <c r="C11" s="1" t="s">
        <v>13</v>
      </c>
      <c r="D11" s="9" t="s">
        <v>27</v>
      </c>
      <c r="E11" s="7"/>
      <c r="F11" s="8" t="s">
        <v>19</v>
      </c>
      <c r="G11" s="16" t="s">
        <v>31</v>
      </c>
      <c r="H11" s="8"/>
      <c r="I11" s="40" t="str">
        <f>IF(G10="Salaried Individual","","AND AOP UNDER SECTION 113")</f>
        <v>AND AOP UNDER SECTION 113</v>
      </c>
      <c r="J11" s="41"/>
      <c r="K11" s="42"/>
    </row>
    <row r="12" spans="3:11" x14ac:dyDescent="0.25">
      <c r="C12" s="1" t="s">
        <v>14</v>
      </c>
      <c r="D12" s="9" t="s">
        <v>28</v>
      </c>
      <c r="E12" s="7"/>
      <c r="F12" s="7" t="str">
        <f>IF(G11="monthly","Input Monthly Income / Salary",IF(G11="Annual","Input Annual Income / Salary",""))</f>
        <v>Input Monthly Income / Salary</v>
      </c>
      <c r="G12" s="16">
        <v>5891203</v>
      </c>
      <c r="H12" s="8"/>
      <c r="I12" s="44" t="str">
        <f>IF(G10="Salaried Individual","","Please Enter your Annual Revenue")</f>
        <v>Please Enter your Annual Revenue</v>
      </c>
      <c r="J12" s="41"/>
      <c r="K12" s="49">
        <v>8900000</v>
      </c>
    </row>
    <row r="13" spans="3:11" x14ac:dyDescent="0.25">
      <c r="D13" s="9" t="s">
        <v>29</v>
      </c>
      <c r="E13" s="7"/>
      <c r="F13" s="8" t="s">
        <v>20</v>
      </c>
      <c r="G13" s="8">
        <f>IF(G10="Salaried Individual",'Working Sheet'!AH7,IF(G10="AOP",'Working Sheet AOP'!AH7,'Working Sheet BI'!AH7))</f>
        <v>23863052.599999998</v>
      </c>
      <c r="H13" s="8"/>
      <c r="I13" s="40" t="str">
        <f>IF(G10="Salaried Individual","","Minimum Tax Rate")</f>
        <v>Minimum Tax Rate</v>
      </c>
      <c r="J13" s="41"/>
      <c r="K13" s="43">
        <f>IF(G10="Salaried Individual","",1.25%)</f>
        <v>1.2500000000000001E-2</v>
      </c>
    </row>
    <row r="14" spans="3:11" x14ac:dyDescent="0.25">
      <c r="D14" s="9" t="s">
        <v>30</v>
      </c>
      <c r="E14" s="7"/>
      <c r="F14" s="8" t="str">
        <f>IF(G11="variable","Your Total Income is","")</f>
        <v/>
      </c>
      <c r="G14" s="8" t="str">
        <f>IF(G11="variable",SUM(G16:G27),"")</f>
        <v/>
      </c>
      <c r="H14" s="8"/>
      <c r="I14" s="40" t="str">
        <f>IF(G10="Salaried Individual","","Minimum Tax Under 113")</f>
        <v>Minimum Tax Under 113</v>
      </c>
      <c r="J14" s="41"/>
      <c r="K14" s="42">
        <f>IF(G10="Salaried Individual","",IF(K12&gt;=10000000,IF(G10&lt;&gt;"Salaried Individual",K12*K13,0),0))</f>
        <v>0</v>
      </c>
    </row>
    <row r="15" spans="3:11" ht="15.75" thickBot="1" x14ac:dyDescent="0.3">
      <c r="D15" s="10"/>
      <c r="E15" s="11"/>
      <c r="F15" s="14" t="str">
        <f>IF(G11="variable","Please insert income / salary below","")</f>
        <v/>
      </c>
      <c r="G15" s="13"/>
      <c r="H15" s="11"/>
      <c r="I15" s="45" t="str">
        <f>IF(G10="Salaried Individual","","Tax Libility")</f>
        <v>Tax Libility</v>
      </c>
      <c r="J15" s="46"/>
      <c r="K15" s="47">
        <f>IF(G13&gt;K14,G13,K14)</f>
        <v>23863052.599999998</v>
      </c>
    </row>
    <row r="16" spans="3:11" x14ac:dyDescent="0.25">
      <c r="C16" s="50" t="s">
        <v>16</v>
      </c>
      <c r="D16" s="50"/>
      <c r="E16" s="11"/>
      <c r="F16" s="13" t="str">
        <f>IF($G$11="Variable", "Jul 19","")</f>
        <v/>
      </c>
      <c r="G16" s="16">
        <v>6789</v>
      </c>
      <c r="H16" s="11"/>
    </row>
    <row r="17" spans="3:7" x14ac:dyDescent="0.25">
      <c r="C17" s="50" t="s">
        <v>17</v>
      </c>
      <c r="D17" s="50"/>
      <c r="E17" s="12"/>
      <c r="F17" s="13" t="str">
        <f>IF($G$11="Variable", "Aug 19","")</f>
        <v/>
      </c>
      <c r="G17" s="17">
        <v>345000</v>
      </c>
    </row>
    <row r="18" spans="3:7" x14ac:dyDescent="0.25">
      <c r="E18" s="1"/>
      <c r="F18" s="13" t="str">
        <f>IF($G$11="Variable", "Sep 19","")</f>
        <v/>
      </c>
      <c r="G18" s="17">
        <v>345000</v>
      </c>
    </row>
    <row r="19" spans="3:7" x14ac:dyDescent="0.25">
      <c r="E19" s="1"/>
      <c r="F19" s="13" t="str">
        <f>IF($G$11="Variable", "Oct 19","")</f>
        <v/>
      </c>
      <c r="G19" s="17">
        <v>345000</v>
      </c>
    </row>
    <row r="20" spans="3:7" x14ac:dyDescent="0.25">
      <c r="E20" s="1"/>
      <c r="F20" s="13" t="str">
        <f>IF($G$11="Variable", "Nov 19","")</f>
        <v/>
      </c>
      <c r="G20" s="17">
        <v>345000</v>
      </c>
    </row>
    <row r="21" spans="3:7" x14ac:dyDescent="0.25">
      <c r="E21" s="1"/>
      <c r="F21" s="13" t="str">
        <f>IF($G$11="Variable", "Dec 19","")</f>
        <v/>
      </c>
      <c r="G21" s="17">
        <v>345000</v>
      </c>
    </row>
    <row r="22" spans="3:7" x14ac:dyDescent="0.25">
      <c r="E22" s="1"/>
      <c r="F22" s="13" t="str">
        <f>IF($G$11="Variable", "Jan 20","")</f>
        <v/>
      </c>
      <c r="G22" s="17">
        <v>345000</v>
      </c>
    </row>
    <row r="23" spans="3:7" x14ac:dyDescent="0.25">
      <c r="E23" s="1"/>
      <c r="F23" s="13" t="str">
        <f>IF($G$11="Variable", "Feb 20","")</f>
        <v/>
      </c>
      <c r="G23" s="17">
        <v>345000</v>
      </c>
    </row>
    <row r="24" spans="3:7" x14ac:dyDescent="0.25">
      <c r="E24" s="1"/>
      <c r="F24" s="13" t="str">
        <f>IF($G$11="Variable", "Mar 20","")</f>
        <v/>
      </c>
      <c r="G24" s="17">
        <v>345000</v>
      </c>
    </row>
    <row r="25" spans="3:7" x14ac:dyDescent="0.25">
      <c r="E25" s="1"/>
      <c r="F25" s="13" t="str">
        <f>IF($G$11="Variable", "Apr 20","")</f>
        <v/>
      </c>
      <c r="G25" s="17">
        <v>345000</v>
      </c>
    </row>
    <row r="26" spans="3:7" x14ac:dyDescent="0.25">
      <c r="E26" s="1"/>
      <c r="F26" s="13" t="str">
        <f>IF($G$11="Variable", "May 20","")</f>
        <v/>
      </c>
      <c r="G26" s="17">
        <v>0</v>
      </c>
    </row>
    <row r="27" spans="3:7" x14ac:dyDescent="0.25">
      <c r="E27" s="1"/>
      <c r="F27" s="13" t="str">
        <f>IF($G$11="Variable", "Jun 20","")</f>
        <v/>
      </c>
      <c r="G27" s="17">
        <v>345000</v>
      </c>
    </row>
    <row r="28" spans="3:7" x14ac:dyDescent="0.25">
      <c r="E28" s="1"/>
      <c r="F28" s="5"/>
      <c r="G28" s="1"/>
    </row>
    <row r="29" spans="3:7" x14ac:dyDescent="0.25">
      <c r="E29" s="1"/>
      <c r="F29" s="5"/>
      <c r="G29" s="1"/>
    </row>
    <row r="30" spans="3:7" x14ac:dyDescent="0.25">
      <c r="E30" s="1"/>
      <c r="F30" s="6"/>
      <c r="G30" s="1"/>
    </row>
    <row r="31" spans="3:7" x14ac:dyDescent="0.25">
      <c r="E31" s="1"/>
      <c r="F31" s="6"/>
      <c r="G31" s="1"/>
    </row>
    <row r="32" spans="3:7" x14ac:dyDescent="0.25">
      <c r="E32" s="1"/>
      <c r="F32" s="5"/>
      <c r="G32" s="1"/>
    </row>
    <row r="33" spans="5:7" x14ac:dyDescent="0.25">
      <c r="E33" s="1"/>
      <c r="F33" s="6"/>
      <c r="G33" s="1"/>
    </row>
    <row r="34" spans="5:7" x14ac:dyDescent="0.25">
      <c r="E34" s="1"/>
      <c r="F34" s="6"/>
      <c r="G34" s="1"/>
    </row>
    <row r="35" spans="5:7" x14ac:dyDescent="0.25">
      <c r="E35" s="1"/>
      <c r="F35" s="6"/>
      <c r="G35" s="1"/>
    </row>
    <row r="36" spans="5:7" x14ac:dyDescent="0.25">
      <c r="E36" s="1"/>
      <c r="F36" s="5"/>
      <c r="G36" s="1"/>
    </row>
    <row r="37" spans="5:7" x14ac:dyDescent="0.25">
      <c r="E37" s="1"/>
      <c r="F37" s="6"/>
      <c r="G37" s="1"/>
    </row>
    <row r="38" spans="5:7" x14ac:dyDescent="0.25">
      <c r="E38" s="1"/>
      <c r="F38" s="6"/>
      <c r="G38" s="1"/>
    </row>
    <row r="39" spans="5:7" x14ac:dyDescent="0.25">
      <c r="E39" s="1"/>
      <c r="F39" s="5"/>
      <c r="G39" s="1"/>
    </row>
    <row r="40" spans="5:7" x14ac:dyDescent="0.25">
      <c r="E40" s="1"/>
      <c r="F40" s="6"/>
      <c r="G40" s="1"/>
    </row>
    <row r="41" spans="5:7" x14ac:dyDescent="0.25">
      <c r="E41" s="1"/>
      <c r="F41" s="5"/>
      <c r="G41" s="1"/>
    </row>
    <row r="42" spans="5:7" x14ac:dyDescent="0.25">
      <c r="E42" s="1"/>
      <c r="F42" s="6"/>
      <c r="G42" s="1"/>
    </row>
    <row r="43" spans="5:7" x14ac:dyDescent="0.25">
      <c r="E43" s="1"/>
      <c r="F43" s="5"/>
      <c r="G43" s="1"/>
    </row>
    <row r="44" spans="5:7" x14ac:dyDescent="0.25">
      <c r="E44" s="1"/>
      <c r="F44" s="6"/>
      <c r="G44" s="1"/>
    </row>
    <row r="45" spans="5:7" x14ac:dyDescent="0.25">
      <c r="E45" s="1"/>
      <c r="F45" s="5"/>
      <c r="G45" s="1"/>
    </row>
    <row r="46" spans="5:7" x14ac:dyDescent="0.25">
      <c r="E46" s="1"/>
      <c r="F46" s="6"/>
      <c r="G46" s="1"/>
    </row>
    <row r="47" spans="5:7" x14ac:dyDescent="0.25">
      <c r="E47" s="1"/>
      <c r="F47" s="6"/>
      <c r="G47" s="1"/>
    </row>
    <row r="48" spans="5:7" x14ac:dyDescent="0.25">
      <c r="E48" s="1"/>
      <c r="F48" s="6"/>
      <c r="G48" s="1"/>
    </row>
    <row r="49" spans="5:7" x14ac:dyDescent="0.25">
      <c r="E49" s="1"/>
      <c r="F49" s="6"/>
      <c r="G49" s="1"/>
    </row>
    <row r="50" spans="5:7" x14ac:dyDescent="0.25">
      <c r="E50" s="1"/>
      <c r="F50" s="6"/>
      <c r="G50" s="1"/>
    </row>
    <row r="51" spans="5:7" x14ac:dyDescent="0.25">
      <c r="E51" s="1"/>
      <c r="F51" s="6"/>
      <c r="G51" s="1"/>
    </row>
    <row r="52" spans="5:7" x14ac:dyDescent="0.25">
      <c r="G52" s="2"/>
    </row>
    <row r="53" spans="5:7" x14ac:dyDescent="0.25">
      <c r="G53" s="2"/>
    </row>
    <row r="54" spans="5:7" x14ac:dyDescent="0.25">
      <c r="G54" s="2"/>
    </row>
    <row r="55" spans="5:7" x14ac:dyDescent="0.25">
      <c r="G55" s="2"/>
    </row>
    <row r="56" spans="5:7" x14ac:dyDescent="0.25">
      <c r="G56" s="2"/>
    </row>
  </sheetData>
  <sheetProtection algorithmName="SHA-512" hashValue="Y3lAkyQECBX5e9VEYsMQL1BMIA+tX7q/arTUJfwFfvMK/TE5eOH1l810YdnDtBQEj3mYouqiicW1lwiVyS+3zA==" saltValue="gp2ooqc75pC/xPtDsaWEVw==" spinCount="100000" sheet="1" objects="1" scenarios="1" selectLockedCells="1"/>
  <mergeCells count="6">
    <mergeCell ref="C17:D17"/>
    <mergeCell ref="C8:D8"/>
    <mergeCell ref="C7:D7"/>
    <mergeCell ref="C9:D9"/>
    <mergeCell ref="C16:D16"/>
    <mergeCell ref="C10:D10"/>
  </mergeCells>
  <conditionalFormatting sqref="G12">
    <cfRule type="expression" dxfId="4" priority="7">
      <formula>$G$11="Variable"</formula>
    </cfRule>
  </conditionalFormatting>
  <conditionalFormatting sqref="G16">
    <cfRule type="expression" priority="3">
      <formula>$G$11="annual"</formula>
    </cfRule>
    <cfRule type="expression" dxfId="3" priority="5">
      <formula>$G$11="monthly"</formula>
    </cfRule>
  </conditionalFormatting>
  <conditionalFormatting sqref="G16:G27">
    <cfRule type="expression" dxfId="2" priority="2">
      <formula>$G$11="Annual"</formula>
    </cfRule>
    <cfRule type="expression" dxfId="1" priority="6">
      <formula>$G$11="Monthly"</formula>
    </cfRule>
  </conditionalFormatting>
  <conditionalFormatting sqref="I10:K15">
    <cfRule type="expression" dxfId="0" priority="1">
      <formula>$G$10="Salaried Individual"</formula>
    </cfRule>
  </conditionalFormatting>
  <dataValidations count="2">
    <dataValidation type="list" showInputMessage="1" showErrorMessage="1" sqref="G11" xr:uid="{00000000-0002-0000-0000-000000000000}">
      <formula1>"Annual, Monthly,Variable"</formula1>
    </dataValidation>
    <dataValidation type="list" allowBlank="1" showInputMessage="1" showErrorMessage="1" sqref="G10" xr:uid="{00000000-0002-0000-0000-000001000000}">
      <formula1>"Salaried Individual, Business Individual, AOP"</formula1>
    </dataValidation>
  </dataValidations>
  <hyperlinks>
    <hyperlink ref="D11" r:id="rId1" xr:uid="{00000000-0004-0000-0000-000000000000}"/>
    <hyperlink ref="D12" r:id="rId2" xr:uid="{00000000-0004-0000-0000-000001000000}"/>
    <hyperlink ref="D13" r:id="rId3" xr:uid="{00000000-0004-0000-0000-000002000000}"/>
    <hyperlink ref="D14" r:id="rId4" xr:uid="{EB5322E5-C1DA-446F-8714-E1007BD1362F}"/>
  </hyperlinks>
  <pageMargins left="0.7" right="0.7" top="0.75" bottom="0.75" header="0.3" footer="0.3"/>
  <pageSetup scale="96" fitToHeight="0" orientation="landscape" r:id="rId5"/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R19"/>
  <sheetViews>
    <sheetView workbookViewId="0"/>
  </sheetViews>
  <sheetFormatPr defaultColWidth="8.85546875" defaultRowHeight="15" x14ac:dyDescent="0.25"/>
  <cols>
    <col min="1" max="6" width="8.85546875" style="21"/>
    <col min="7" max="7" width="9.5703125" style="21" bestFit="1" customWidth="1"/>
    <col min="8" max="8" width="8.85546875" style="21" bestFit="1" customWidth="1"/>
    <col min="9" max="10" width="8.85546875" style="21"/>
    <col min="11" max="11" width="9.5703125" style="21" bestFit="1" customWidth="1"/>
    <col min="12" max="26" width="8.85546875" style="21"/>
    <col min="27" max="27" width="15.28515625" style="21" bestFit="1" customWidth="1"/>
    <col min="28" max="29" width="11.5703125" style="21" bestFit="1" customWidth="1"/>
    <col min="30" max="30" width="8.85546875" style="21"/>
    <col min="31" max="32" width="11.5703125" style="21" bestFit="1" customWidth="1"/>
    <col min="33" max="33" width="14.28515625" style="21" bestFit="1" customWidth="1"/>
    <col min="34" max="34" width="11.5703125" style="21" bestFit="1" customWidth="1"/>
    <col min="35" max="35" width="8.42578125" style="21" bestFit="1" customWidth="1"/>
    <col min="36" max="36" width="11.5703125" style="21" bestFit="1" customWidth="1"/>
    <col min="37" max="37" width="14.28515625" style="21" bestFit="1" customWidth="1"/>
    <col min="38" max="38" width="8.85546875" style="21"/>
    <col min="39" max="40" width="13.5703125" style="21" bestFit="1" customWidth="1"/>
    <col min="41" max="41" width="11.28515625" style="21" customWidth="1"/>
    <col min="42" max="42" width="12.42578125" style="21" bestFit="1" customWidth="1"/>
    <col min="43" max="16384" width="8.85546875" style="21"/>
  </cols>
  <sheetData>
    <row r="1" spans="1:44" x14ac:dyDescent="0.25">
      <c r="J1" s="48">
        <f>IF('Annual 2019-20'!G11="Variable",SUM('Annual 2019-20'!G16:G27),IF('Annual 2019-20'!G11="Monthly",('Annual 2019-20'!G12*12),'Annual 2019-20'!G12))</f>
        <v>70694436</v>
      </c>
    </row>
    <row r="4" spans="1:44" x14ac:dyDescent="0.25">
      <c r="A4" s="22"/>
      <c r="F4" s="22"/>
      <c r="G4" s="22"/>
      <c r="H4" s="22"/>
      <c r="I4" s="22"/>
      <c r="J4" s="22"/>
      <c r="K4" s="22"/>
      <c r="M4" s="23"/>
      <c r="N4" s="23"/>
      <c r="O4" s="24"/>
      <c r="P4" s="23"/>
    </row>
    <row r="5" spans="1:44" x14ac:dyDescent="0.25">
      <c r="A5" s="22"/>
      <c r="F5" s="22"/>
      <c r="G5" s="22"/>
      <c r="H5" s="22"/>
      <c r="I5" s="22"/>
      <c r="J5" s="22"/>
      <c r="K5" s="22"/>
      <c r="M5" s="23"/>
      <c r="N5" s="23"/>
      <c r="O5" s="24"/>
      <c r="P5" s="23"/>
    </row>
    <row r="6" spans="1:44" ht="120" x14ac:dyDescent="0.25">
      <c r="S6" s="27"/>
      <c r="T6" s="27"/>
      <c r="U6" s="27"/>
      <c r="V6" s="27"/>
      <c r="W6" s="27"/>
      <c r="X6" s="27"/>
      <c r="Y6" s="27"/>
      <c r="AA6" s="25" t="s">
        <v>0</v>
      </c>
      <c r="AB6" s="26" t="s">
        <v>1</v>
      </c>
      <c r="AC6" s="26" t="s">
        <v>2</v>
      </c>
      <c r="AD6" s="26" t="s">
        <v>5</v>
      </c>
      <c r="AE6" s="26" t="s">
        <v>10</v>
      </c>
      <c r="AF6" s="25" t="s">
        <v>11</v>
      </c>
      <c r="AG6" s="25" t="s">
        <v>12</v>
      </c>
      <c r="AH6" s="25" t="s">
        <v>7</v>
      </c>
      <c r="AI6" s="25" t="s">
        <v>8</v>
      </c>
      <c r="AJ6" s="25" t="s">
        <v>9</v>
      </c>
      <c r="AK6" s="25" t="s">
        <v>6</v>
      </c>
      <c r="AL6" s="27"/>
      <c r="AM6" s="34" t="s">
        <v>1</v>
      </c>
      <c r="AN6" s="34" t="s">
        <v>2</v>
      </c>
      <c r="AO6" s="35" t="s">
        <v>3</v>
      </c>
      <c r="AP6" s="34" t="s">
        <v>4</v>
      </c>
      <c r="AQ6" s="26"/>
      <c r="AR6" s="27"/>
    </row>
    <row r="7" spans="1:44" x14ac:dyDescent="0.25">
      <c r="AA7" s="30">
        <f>IF('Annual 2019-20'!G11="Variable",SUM('Annual 2019-20'!G16:G27),IF('Annual 2019-20'!G11="Monthly",('Annual 2019-20'!G12*12),'Annual 2019-20'!G12))</f>
        <v>70694436</v>
      </c>
      <c r="AB7" s="22">
        <f>IF(AA7&gt;$AM$18,$AM$18,IF(AA7&gt;$AM$17,$AM$17,IF(AA7&gt;$AM$16,$AM$16,IF(AA7&gt;$AM$15,$AM$15,IF(AA7&gt;$AM$14,$AM$14,IF(AA7&gt;$AM$13,$AM$13,IF(AA7&gt;$AM$12,$AM$12,IF(AA7&gt;$AM$11,$AM$11,IF(AA7&gt;$AM$10,$AM$10,IF(AA7&gt;$AM$9,$AM$9,IF(AA7&gt;$AM$8,$AM$8,IF(AA7&gt;$AM$7,$AM$7,0))))))))))))</f>
        <v>50000000</v>
      </c>
      <c r="AC7" s="22">
        <f>IF(AB7=$AM$7,$AN$7,IF(AB7=$AM$8,$AN$8,IF(AB7=$AM$9,$AN$9,IF(AB7=$AM$10,$AN$10,IF(AB7=$AM$11,$AN$11,IF(AB7=$AM$12,$AN$12,IF(AB7=$AM$13,$AN$13,IF(AB7=$AM$14,$AN$14,IF(AB7=$AM$15,$AN$15,IF(AB7=$AM$16,$AN$16,IF(AB7=$AM17,$AN$17,IF(AB7=$AM$18,$AN$18,))))))))))))</f>
        <v>75000000</v>
      </c>
      <c r="AD7" s="31">
        <f>IF(AA7&lt;=$AM$7,0,IF(AA7&lt;=$AN$7,$AO$7,IF(AA7&lt;=$AN$8,$AO$8,IF(AA7&lt;=$AN$9,$AO$9,IF(AA7&lt;=$AN$10,$AO$10,IF(AA7&lt;=$AN$11,$AO$11,IF(AA7&lt;=$AN$12,$AO$12,IF(AA7&lt;=$AN$13,$AO$13,IF(AA7&lt;=$AN$14,$AO$14,IF(AA7&lt;=$AN$15,$AO$15,IF(AA7&lt;=$AN$16,$AO$16,IF(AA7&lt;=$AN$17,$AO$17,$AO$18))))))))))))</f>
        <v>0.32500000000000001</v>
      </c>
      <c r="AE7" s="22">
        <f>IF(AA7&lt;=$AM$7,0,IF(AA7&lt;=$AN$7,$AP$7,IF(AA7&lt;=$AN$8,$AP$8,IF(AA7&lt;=$AN$9,$AP$9,IF(AA7&lt;=$AN$10,$AP$10,IF(AA7&lt;=$AN$11,$AP$11,IF(AA7&lt;=$AN$12,$AP$12,IF(AA7&lt;=$AN$13,$AP$13,IF(AA7&lt;=$AN$14,$AP$14,IF(AA7&lt;=$AN$15,$AP$15,IF(AA7&lt;=$AN$16,$AP$16,IF(AA7&lt;=$AN$17,$AP$17,$AP$18))))))))))))</f>
        <v>13295000</v>
      </c>
      <c r="AF7" s="22">
        <f>AA7-AB7</f>
        <v>20694436</v>
      </c>
      <c r="AG7" s="30">
        <f>AF7*AD7</f>
        <v>6725691.7000000002</v>
      </c>
      <c r="AH7" s="22">
        <f>IF(AND(AB7&gt;=AM8,(AE7+AG7)&lt;2000),2000,(AE7+AG7))</f>
        <v>20020691.699999999</v>
      </c>
      <c r="AI7" s="22">
        <v>0</v>
      </c>
      <c r="AJ7" s="22">
        <f>AH7-AI7</f>
        <v>20020691.699999999</v>
      </c>
      <c r="AK7" s="30">
        <f>AJ7/3</f>
        <v>6673563.8999999994</v>
      </c>
      <c r="AM7" s="24">
        <v>0</v>
      </c>
      <c r="AN7" s="24">
        <v>600000</v>
      </c>
      <c r="AO7" s="33">
        <v>0</v>
      </c>
      <c r="AP7" s="36">
        <v>0</v>
      </c>
    </row>
    <row r="8" spans="1:44" x14ac:dyDescent="0.25">
      <c r="AA8" s="22"/>
      <c r="AB8" s="22"/>
      <c r="AC8" s="22"/>
      <c r="AD8" s="31"/>
      <c r="AE8" s="22"/>
      <c r="AF8" s="22"/>
      <c r="AG8" s="22"/>
      <c r="AH8" s="22"/>
      <c r="AI8" s="22"/>
      <c r="AJ8" s="22"/>
      <c r="AK8" s="22"/>
      <c r="AM8" s="24">
        <v>600000</v>
      </c>
      <c r="AN8" s="24">
        <v>1200000</v>
      </c>
      <c r="AO8" s="33">
        <v>0.05</v>
      </c>
      <c r="AP8" s="36">
        <v>0</v>
      </c>
    </row>
    <row r="9" spans="1:44" x14ac:dyDescent="0.25">
      <c r="AA9" s="22"/>
      <c r="AB9" s="22"/>
      <c r="AC9" s="22"/>
      <c r="AD9" s="31"/>
      <c r="AE9" s="22"/>
      <c r="AF9" s="22"/>
      <c r="AG9" s="22"/>
      <c r="AH9" s="22"/>
      <c r="AI9" s="22"/>
      <c r="AJ9" s="22"/>
      <c r="AK9" s="22"/>
      <c r="AM9" s="24">
        <v>1200000</v>
      </c>
      <c r="AN9" s="24">
        <v>1800000</v>
      </c>
      <c r="AO9" s="33">
        <v>0.1</v>
      </c>
      <c r="AP9" s="36">
        <v>30000</v>
      </c>
    </row>
    <row r="10" spans="1:44" x14ac:dyDescent="0.25">
      <c r="AA10" s="22"/>
      <c r="AB10" s="22"/>
      <c r="AC10" s="22"/>
      <c r="AD10" s="32"/>
      <c r="AE10" s="22"/>
      <c r="AF10" s="22"/>
      <c r="AG10" s="22"/>
      <c r="AH10" s="22"/>
      <c r="AI10" s="22"/>
      <c r="AJ10" s="22"/>
      <c r="AK10" s="22"/>
      <c r="AM10" s="24">
        <v>1800000</v>
      </c>
      <c r="AN10" s="24">
        <v>2500000</v>
      </c>
      <c r="AO10" s="33">
        <v>0.15</v>
      </c>
      <c r="AP10" s="36">
        <v>90000</v>
      </c>
    </row>
    <row r="11" spans="1:44" x14ac:dyDescent="0.25">
      <c r="AA11" s="22"/>
      <c r="AB11" s="22"/>
      <c r="AC11" s="22"/>
      <c r="AD11" s="31"/>
      <c r="AE11" s="22"/>
      <c r="AF11" s="22"/>
      <c r="AG11" s="22"/>
      <c r="AH11" s="22"/>
      <c r="AI11" s="22"/>
      <c r="AJ11" s="22"/>
      <c r="AK11" s="22"/>
      <c r="AM11" s="24">
        <v>2500000</v>
      </c>
      <c r="AN11" s="24">
        <v>3500000</v>
      </c>
      <c r="AO11" s="33">
        <v>0.17499999999999999</v>
      </c>
      <c r="AP11" s="36">
        <v>195000</v>
      </c>
    </row>
    <row r="12" spans="1:44" x14ac:dyDescent="0.25">
      <c r="AA12" s="22"/>
      <c r="AB12" s="22"/>
      <c r="AC12" s="22"/>
      <c r="AD12" s="31"/>
      <c r="AE12" s="22"/>
      <c r="AF12" s="22"/>
      <c r="AG12" s="22"/>
      <c r="AH12" s="22"/>
      <c r="AI12" s="22"/>
      <c r="AJ12" s="22"/>
      <c r="AK12" s="22"/>
      <c r="AM12" s="24">
        <f>AN11</f>
        <v>3500000</v>
      </c>
      <c r="AN12" s="24">
        <v>5000000</v>
      </c>
      <c r="AO12" s="33">
        <v>0.2</v>
      </c>
      <c r="AP12" s="36">
        <v>370000</v>
      </c>
    </row>
    <row r="13" spans="1:44" x14ac:dyDescent="0.25">
      <c r="AA13" s="22"/>
      <c r="AB13" s="22"/>
      <c r="AC13" s="22"/>
      <c r="AD13" s="31"/>
      <c r="AE13" s="22"/>
      <c r="AF13" s="22"/>
      <c r="AG13" s="22"/>
      <c r="AH13" s="22"/>
      <c r="AI13" s="22"/>
      <c r="AJ13" s="22"/>
      <c r="AK13" s="22"/>
      <c r="AM13" s="24">
        <f t="shared" ref="AM13:AM17" si="0">AN12</f>
        <v>5000000</v>
      </c>
      <c r="AN13" s="24">
        <v>8000000</v>
      </c>
      <c r="AO13" s="33">
        <v>0.22500000000000001</v>
      </c>
      <c r="AP13" s="36">
        <v>670000</v>
      </c>
    </row>
    <row r="14" spans="1:44" x14ac:dyDescent="0.25">
      <c r="AA14" s="22"/>
      <c r="AB14" s="22"/>
      <c r="AC14" s="22"/>
      <c r="AD14" s="32"/>
      <c r="AE14" s="22"/>
      <c r="AF14" s="22"/>
      <c r="AG14" s="22"/>
      <c r="AH14" s="22"/>
      <c r="AI14" s="22"/>
      <c r="AJ14" s="22"/>
      <c r="AK14" s="22"/>
      <c r="AM14" s="24">
        <f t="shared" si="0"/>
        <v>8000000</v>
      </c>
      <c r="AN14" s="24">
        <v>12000000</v>
      </c>
      <c r="AO14" s="33">
        <v>0.25</v>
      </c>
      <c r="AP14" s="36">
        <v>1345000</v>
      </c>
    </row>
    <row r="15" spans="1:44" x14ac:dyDescent="0.25">
      <c r="AA15" s="22"/>
      <c r="AB15" s="22"/>
      <c r="AC15" s="22"/>
      <c r="AD15" s="31"/>
      <c r="AE15" s="22"/>
      <c r="AF15" s="22"/>
      <c r="AG15" s="22"/>
      <c r="AH15" s="22"/>
      <c r="AI15" s="22"/>
      <c r="AJ15" s="22"/>
      <c r="AK15" s="22"/>
      <c r="AM15" s="24">
        <f t="shared" si="0"/>
        <v>12000000</v>
      </c>
      <c r="AN15" s="24">
        <v>30000000</v>
      </c>
      <c r="AO15" s="33">
        <v>0.27500000000000002</v>
      </c>
      <c r="AP15" s="36">
        <v>2345000</v>
      </c>
    </row>
    <row r="16" spans="1:44" x14ac:dyDescent="0.25">
      <c r="AA16" s="22"/>
      <c r="AB16" s="22"/>
      <c r="AC16" s="22"/>
      <c r="AD16" s="31"/>
      <c r="AE16" s="22"/>
      <c r="AF16" s="22"/>
      <c r="AG16" s="22"/>
      <c r="AH16" s="22"/>
      <c r="AI16" s="22"/>
      <c r="AJ16" s="22"/>
      <c r="AK16" s="22"/>
      <c r="AM16" s="24">
        <f t="shared" si="0"/>
        <v>30000000</v>
      </c>
      <c r="AN16" s="24">
        <v>50000000</v>
      </c>
      <c r="AO16" s="33">
        <v>0.3</v>
      </c>
      <c r="AP16" s="36">
        <v>7295000</v>
      </c>
    </row>
    <row r="17" spans="1:42" x14ac:dyDescent="0.25">
      <c r="AA17" s="22"/>
      <c r="AB17" s="22"/>
      <c r="AC17" s="22"/>
      <c r="AD17" s="31"/>
      <c r="AE17" s="22"/>
      <c r="AF17" s="22"/>
      <c r="AG17" s="22"/>
      <c r="AH17" s="22"/>
      <c r="AI17" s="22"/>
      <c r="AJ17" s="22"/>
      <c r="AK17" s="22"/>
      <c r="AM17" s="24">
        <f t="shared" si="0"/>
        <v>50000000</v>
      </c>
      <c r="AN17" s="24">
        <v>75000000</v>
      </c>
      <c r="AO17" s="33">
        <v>0.32500000000000001</v>
      </c>
      <c r="AP17" s="36">
        <v>13295000</v>
      </c>
    </row>
    <row r="18" spans="1:42" x14ac:dyDescent="0.25">
      <c r="AA18" s="22"/>
      <c r="AB18" s="22"/>
      <c r="AC18" s="22"/>
      <c r="AD18" s="31"/>
      <c r="AE18" s="22"/>
      <c r="AF18" s="22"/>
      <c r="AG18" s="22"/>
      <c r="AH18" s="22"/>
      <c r="AI18" s="22"/>
      <c r="AJ18" s="22"/>
      <c r="AK18" s="22"/>
      <c r="AM18" s="24">
        <f t="shared" ref="AM18" si="1">AN17</f>
        <v>75000000</v>
      </c>
      <c r="AN18" s="24"/>
      <c r="AO18" s="33">
        <v>0.35</v>
      </c>
      <c r="AP18" s="36">
        <v>21420000</v>
      </c>
    </row>
    <row r="19" spans="1:42" x14ac:dyDescent="0.25">
      <c r="A19" s="22"/>
      <c r="B19" s="22"/>
      <c r="C19" s="22"/>
      <c r="D19" s="32"/>
      <c r="E19" s="22"/>
      <c r="F19" s="22"/>
      <c r="G19" s="22"/>
      <c r="H19" s="22"/>
      <c r="I19" s="22"/>
      <c r="J19" s="22"/>
      <c r="K19" s="22"/>
      <c r="M19" s="23"/>
      <c r="N19" s="23"/>
      <c r="O19" s="24"/>
      <c r="P19" s="23"/>
    </row>
  </sheetData>
  <sheetProtection algorithmName="SHA-512" hashValue="hHCj9f/cD9n7LGlT0/p/gS0jXMLearKArGl4oYtu5w/bIIUs3qCr7F+6MyGUl7akbLxbrEocEakkRK1HbS8yog==" saltValue="dYAr971mT9mQ5byImAvjXg==" spinCount="100000" sheet="1" objects="1" scenarios="1" selectLockedCells="1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R19"/>
  <sheetViews>
    <sheetView workbookViewId="0"/>
  </sheetViews>
  <sheetFormatPr defaultColWidth="8.85546875" defaultRowHeight="15" x14ac:dyDescent="0.25"/>
  <cols>
    <col min="1" max="6" width="8.85546875" style="21"/>
    <col min="7" max="7" width="9.5703125" style="21" bestFit="1" customWidth="1"/>
    <col min="8" max="8" width="8.85546875" style="21" bestFit="1" customWidth="1"/>
    <col min="9" max="10" width="8.85546875" style="21"/>
    <col min="11" max="11" width="9.5703125" style="21" bestFit="1" customWidth="1"/>
    <col min="12" max="26" width="8.85546875" style="21"/>
    <col min="27" max="27" width="14.28515625" style="21" bestFit="1" customWidth="1"/>
    <col min="28" max="29" width="10.5703125" style="21" bestFit="1" customWidth="1"/>
    <col min="30" max="30" width="8.85546875" style="21"/>
    <col min="31" max="31" width="10.5703125" style="21" bestFit="1" customWidth="1"/>
    <col min="32" max="32" width="11.5703125" style="21" bestFit="1" customWidth="1"/>
    <col min="33" max="33" width="14.28515625" style="21" bestFit="1" customWidth="1"/>
    <col min="34" max="34" width="11.5703125" style="21" bestFit="1" customWidth="1"/>
    <col min="35" max="35" width="8.42578125" style="21" bestFit="1" customWidth="1"/>
    <col min="36" max="36" width="11.5703125" style="21" bestFit="1" customWidth="1"/>
    <col min="37" max="37" width="13.28515625" style="21" bestFit="1" customWidth="1"/>
    <col min="38" max="38" width="8.85546875" style="21"/>
    <col min="39" max="40" width="12.42578125" style="21" bestFit="1" customWidth="1"/>
    <col min="41" max="41" width="11.28515625" style="21" customWidth="1"/>
    <col min="42" max="42" width="12.42578125" style="21" bestFit="1" customWidth="1"/>
    <col min="43" max="16384" width="8.85546875" style="21"/>
  </cols>
  <sheetData>
    <row r="1" spans="1:44" x14ac:dyDescent="0.25">
      <c r="J1" s="48">
        <f>IF('Annual 2019-20'!G11="Variable",SUM('Annual 2019-20'!G16:G27),IF('Annual 2019-20'!G11="Monthly",('Annual 2019-20'!G12*12),'Annual 2019-20'!G12))</f>
        <v>70694436</v>
      </c>
    </row>
    <row r="4" spans="1:44" x14ac:dyDescent="0.25">
      <c r="A4" s="22"/>
      <c r="F4" s="22"/>
      <c r="G4" s="22"/>
      <c r="H4" s="22"/>
      <c r="I4" s="22"/>
      <c r="J4" s="22"/>
      <c r="K4" s="22"/>
      <c r="M4" s="23"/>
      <c r="N4" s="23"/>
      <c r="O4" s="24"/>
      <c r="P4" s="23"/>
    </row>
    <row r="5" spans="1:44" x14ac:dyDescent="0.25">
      <c r="A5" s="22"/>
      <c r="F5" s="22"/>
      <c r="G5" s="22"/>
      <c r="H5" s="22"/>
      <c r="I5" s="22"/>
      <c r="J5" s="22"/>
      <c r="K5" s="22"/>
      <c r="M5" s="23"/>
      <c r="N5" s="23"/>
      <c r="O5" s="24"/>
      <c r="P5" s="23"/>
    </row>
    <row r="6" spans="1:44" ht="120" x14ac:dyDescent="0.25">
      <c r="S6" s="27"/>
      <c r="T6" s="27"/>
      <c r="U6" s="27"/>
      <c r="V6" s="27"/>
      <c r="W6" s="27"/>
      <c r="X6" s="27"/>
      <c r="Y6" s="27"/>
      <c r="AA6" s="25" t="s">
        <v>0</v>
      </c>
      <c r="AB6" s="26" t="s">
        <v>1</v>
      </c>
      <c r="AC6" s="26" t="s">
        <v>2</v>
      </c>
      <c r="AD6" s="26" t="s">
        <v>5</v>
      </c>
      <c r="AE6" s="26" t="s">
        <v>10</v>
      </c>
      <c r="AF6" s="25" t="s">
        <v>11</v>
      </c>
      <c r="AG6" s="25" t="s">
        <v>12</v>
      </c>
      <c r="AH6" s="25" t="s">
        <v>7</v>
      </c>
      <c r="AI6" s="25" t="s">
        <v>8</v>
      </c>
      <c r="AJ6" s="25" t="s">
        <v>9</v>
      </c>
      <c r="AK6" s="25" t="s">
        <v>6</v>
      </c>
      <c r="AL6" s="27"/>
      <c r="AM6" s="34" t="s">
        <v>1</v>
      </c>
      <c r="AN6" s="34" t="s">
        <v>2</v>
      </c>
      <c r="AO6" s="35" t="s">
        <v>3</v>
      </c>
      <c r="AP6" s="34" t="s">
        <v>4</v>
      </c>
      <c r="AQ6" s="26"/>
      <c r="AR6" s="27"/>
    </row>
    <row r="7" spans="1:44" x14ac:dyDescent="0.25">
      <c r="AA7" s="30">
        <f>IF('Annual 2019-20'!G11="Variable",SUM('Annual 2019-20'!G16:G27),IF('Annual 2019-20'!G11="Monthly",('Annual 2019-20'!G12*12),'Annual 2019-20'!G12))</f>
        <v>70694436</v>
      </c>
      <c r="AB7" s="22">
        <f>IF(AA7&gt;$AM$17,$AM$17,IF(AA7&gt;$AM$16,$AM$16,IF(AA7&gt;$AM$15,$AM$15,IF(AA7&gt;$AM$14,$AM$14,IF(AA7&gt;$AM$13,$AM$13,IF(AA7&gt;$AM$12,$AM$12,IF(AA7&gt;$AM$11,$AM$11,IF(AA7&gt;$AM$10,$AM$10,IF(AA7&gt;$AM$9,$AM$9,IF(AA7&gt;$AM$8,$AM$8,IF(AA7&gt;$AM$7,$AM$7,0)))))))))))</f>
        <v>6000000</v>
      </c>
      <c r="AC7" s="22">
        <f>IF(AB7=$AM$7,$AN$7,IF(AB7=$AM$8,$AN$8,IF(AB7=$AM$9,$AN$9,IF(AB7=$AM$10,$AN$10,IF(AB7=$AM$11,$AN$11,IF(AB7=$AM$12,$AN$12,IF(AB7=$AM$13,$AN$13,IF(AB7=$AM$14,$AN$14,IF(AB7=$AM$15,$AN$15,IF(AB7=$AM$16,$AN$16,))))))))))</f>
        <v>6000000</v>
      </c>
      <c r="AD7" s="31">
        <f>IF(AA7&lt;=$AM$7,0,IF(AA7&lt;=$AN$7,$AO$7,IF(AA7&lt;=$AN$8,$AO$8,IF(AA7&lt;=$AN$9,$AO$9,IF(AA7&lt;=$AN$10,$AO$10,IF(AA7&lt;=$AN$11,$AO$11,IF(AA7&lt;=$AN$12,$AO$12,IF(AA7&lt;=$AN$13,$AO$13,IF(AA7&lt;=$AN$14,$AO$14,IF(AA7&lt;=$AN$15,$AO$15,IF(AA7&lt;=$AN$16,$AO$16,$AO$17)))))))))))</f>
        <v>0.35</v>
      </c>
      <c r="AE7" s="22">
        <f>IF(AA7&lt;=$AM$7,0,IF(AA7&lt;=$AN$7,$AP$7,IF(AA7&lt;=$AN$8,$AP$8,IF(AA7&lt;=$AN$9,$AP$9,IF(AA7&lt;=$AN$10,$AP$10,IF(AA7&lt;=$AN$11,$AP$11,IF(AA7&lt;=$AN$12,$AP$12,IF(AA7&lt;=$AN$13,$AP$13,IF(AA7&lt;=$AN$14,$AP$14,IF(AA7&lt;=$AN$15,$AP$15,IF(AA7&lt;=$AN$16,$AP$16,$AP$17)))))))))))</f>
        <v>1220000</v>
      </c>
      <c r="AF7" s="22">
        <f>AA7-AB7</f>
        <v>64694436</v>
      </c>
      <c r="AG7" s="30">
        <f>AF7*AD7</f>
        <v>22643052.599999998</v>
      </c>
      <c r="AH7" s="22">
        <f>IF(AND(AB7&gt;=AM8,(AE7+AG7)&lt;2000),2000,(AE7+AG7))</f>
        <v>23863052.599999998</v>
      </c>
      <c r="AI7" s="22">
        <v>0</v>
      </c>
      <c r="AJ7" s="22">
        <f>AH7-AI7</f>
        <v>23863052.599999998</v>
      </c>
      <c r="AK7" s="30">
        <f>AJ7/3</f>
        <v>7954350.8666666662</v>
      </c>
      <c r="AM7" s="24">
        <v>400000</v>
      </c>
      <c r="AN7" s="24">
        <v>600000</v>
      </c>
      <c r="AO7" s="33">
        <v>0.05</v>
      </c>
      <c r="AP7" s="36">
        <v>0</v>
      </c>
    </row>
    <row r="8" spans="1:44" x14ac:dyDescent="0.25">
      <c r="AA8" s="22"/>
      <c r="AB8" s="22"/>
      <c r="AC8" s="22"/>
      <c r="AD8" s="31"/>
      <c r="AE8" s="22"/>
      <c r="AF8" s="22"/>
      <c r="AG8" s="22"/>
      <c r="AH8" s="22"/>
      <c r="AI8" s="22"/>
      <c r="AJ8" s="22"/>
      <c r="AK8" s="22"/>
      <c r="AM8" s="24">
        <f>AN7</f>
        <v>600000</v>
      </c>
      <c r="AN8" s="24">
        <v>1200000</v>
      </c>
      <c r="AO8" s="33">
        <v>0.1</v>
      </c>
      <c r="AP8" s="36">
        <v>10000</v>
      </c>
    </row>
    <row r="9" spans="1:44" x14ac:dyDescent="0.25">
      <c r="AA9" s="22"/>
      <c r="AB9" s="22"/>
      <c r="AC9" s="22"/>
      <c r="AD9" s="31"/>
      <c r="AE9" s="22"/>
      <c r="AF9" s="22"/>
      <c r="AG9" s="22"/>
      <c r="AH9" s="22"/>
      <c r="AI9" s="22"/>
      <c r="AJ9" s="22"/>
      <c r="AK9" s="22"/>
      <c r="AM9" s="24">
        <v>1200000</v>
      </c>
      <c r="AN9" s="24">
        <v>2400000</v>
      </c>
      <c r="AO9" s="33">
        <v>0.15</v>
      </c>
      <c r="AP9" s="36">
        <v>70000</v>
      </c>
    </row>
    <row r="10" spans="1:44" x14ac:dyDescent="0.25">
      <c r="AA10" s="22"/>
      <c r="AB10" s="22"/>
      <c r="AC10" s="22"/>
      <c r="AD10" s="32"/>
      <c r="AE10" s="22"/>
      <c r="AF10" s="22"/>
      <c r="AG10" s="22"/>
      <c r="AH10" s="22"/>
      <c r="AI10" s="22"/>
      <c r="AJ10" s="22"/>
      <c r="AK10" s="22"/>
      <c r="AM10" s="24">
        <v>2400000</v>
      </c>
      <c r="AN10" s="24">
        <v>3000000</v>
      </c>
      <c r="AO10" s="33">
        <v>0.2</v>
      </c>
      <c r="AP10" s="36">
        <v>250000</v>
      </c>
    </row>
    <row r="11" spans="1:44" x14ac:dyDescent="0.25">
      <c r="AA11" s="22"/>
      <c r="AB11" s="22"/>
      <c r="AC11" s="22"/>
      <c r="AD11" s="31"/>
      <c r="AE11" s="22"/>
      <c r="AF11" s="22"/>
      <c r="AG11" s="22"/>
      <c r="AH11" s="22"/>
      <c r="AI11" s="22"/>
      <c r="AJ11" s="22"/>
      <c r="AK11" s="22"/>
      <c r="AM11" s="24">
        <f>AN10</f>
        <v>3000000</v>
      </c>
      <c r="AN11" s="24">
        <v>4000000</v>
      </c>
      <c r="AO11" s="33">
        <v>0.25</v>
      </c>
      <c r="AP11" s="36">
        <v>370000</v>
      </c>
    </row>
    <row r="12" spans="1:44" x14ac:dyDescent="0.25">
      <c r="AA12" s="22"/>
      <c r="AB12" s="22"/>
      <c r="AC12" s="22"/>
      <c r="AD12" s="31"/>
      <c r="AE12" s="22"/>
      <c r="AF12" s="22"/>
      <c r="AG12" s="22"/>
      <c r="AH12" s="22"/>
      <c r="AI12" s="22"/>
      <c r="AJ12" s="22"/>
      <c r="AK12" s="22"/>
      <c r="AM12" s="24">
        <f>AN11</f>
        <v>4000000</v>
      </c>
      <c r="AN12" s="24">
        <v>6000000</v>
      </c>
      <c r="AO12" s="33">
        <v>0.3</v>
      </c>
      <c r="AP12" s="36">
        <v>620000</v>
      </c>
    </row>
    <row r="13" spans="1:44" x14ac:dyDescent="0.25">
      <c r="AA13" s="22"/>
      <c r="AB13" s="22"/>
      <c r="AC13" s="22"/>
      <c r="AD13" s="31"/>
      <c r="AE13" s="22"/>
      <c r="AF13" s="22"/>
      <c r="AG13" s="22"/>
      <c r="AH13" s="22"/>
      <c r="AI13" s="22"/>
      <c r="AJ13" s="22"/>
      <c r="AK13" s="22"/>
      <c r="AM13" s="24">
        <f t="shared" ref="AM13:AM17" si="0">AN12</f>
        <v>6000000</v>
      </c>
      <c r="AN13" s="24">
        <v>6000000</v>
      </c>
      <c r="AO13" s="33">
        <v>0.35</v>
      </c>
      <c r="AP13" s="36">
        <v>1220000</v>
      </c>
    </row>
    <row r="14" spans="1:44" x14ac:dyDescent="0.25">
      <c r="AA14" s="22"/>
      <c r="AB14" s="22"/>
      <c r="AC14" s="22"/>
      <c r="AD14" s="32"/>
      <c r="AE14" s="22"/>
      <c r="AF14" s="22"/>
      <c r="AG14" s="22"/>
      <c r="AH14" s="22"/>
      <c r="AI14" s="22"/>
      <c r="AJ14" s="22"/>
      <c r="AK14" s="22"/>
      <c r="AM14" s="24">
        <f t="shared" si="0"/>
        <v>6000000</v>
      </c>
      <c r="AN14" s="24">
        <v>6000000</v>
      </c>
      <c r="AO14" s="33">
        <v>0.35</v>
      </c>
      <c r="AP14" s="36">
        <v>1220000</v>
      </c>
    </row>
    <row r="15" spans="1:44" x14ac:dyDescent="0.25">
      <c r="AA15" s="22"/>
      <c r="AB15" s="22"/>
      <c r="AC15" s="22"/>
      <c r="AD15" s="31"/>
      <c r="AE15" s="22"/>
      <c r="AF15" s="22"/>
      <c r="AG15" s="22"/>
      <c r="AH15" s="22"/>
      <c r="AI15" s="22"/>
      <c r="AJ15" s="22"/>
      <c r="AK15" s="22"/>
      <c r="AM15" s="24">
        <f t="shared" si="0"/>
        <v>6000000</v>
      </c>
      <c r="AN15" s="24">
        <v>6000000</v>
      </c>
      <c r="AO15" s="33">
        <v>0.35</v>
      </c>
      <c r="AP15" s="36">
        <v>1220000</v>
      </c>
    </row>
    <row r="16" spans="1:44" x14ac:dyDescent="0.25">
      <c r="AA16" s="22"/>
      <c r="AB16" s="22"/>
      <c r="AC16" s="22"/>
      <c r="AD16" s="31"/>
      <c r="AE16" s="22"/>
      <c r="AF16" s="22"/>
      <c r="AG16" s="22"/>
      <c r="AH16" s="22"/>
      <c r="AI16" s="22"/>
      <c r="AJ16" s="22"/>
      <c r="AK16" s="22"/>
      <c r="AM16" s="24">
        <f t="shared" si="0"/>
        <v>6000000</v>
      </c>
      <c r="AN16" s="24">
        <v>6000000</v>
      </c>
      <c r="AO16" s="33">
        <v>0.35</v>
      </c>
      <c r="AP16" s="36">
        <v>1220000</v>
      </c>
    </row>
    <row r="17" spans="1:42" x14ac:dyDescent="0.25">
      <c r="AA17" s="22"/>
      <c r="AB17" s="22"/>
      <c r="AC17" s="22"/>
      <c r="AD17" s="31"/>
      <c r="AE17" s="22"/>
      <c r="AF17" s="22"/>
      <c r="AG17" s="22"/>
      <c r="AH17" s="22"/>
      <c r="AI17" s="22"/>
      <c r="AJ17" s="22"/>
      <c r="AK17" s="22"/>
      <c r="AM17" s="24">
        <f t="shared" si="0"/>
        <v>6000000</v>
      </c>
      <c r="AN17" s="24">
        <v>6000000</v>
      </c>
      <c r="AO17" s="33">
        <v>0.35</v>
      </c>
      <c r="AP17" s="36">
        <v>1220000</v>
      </c>
    </row>
    <row r="18" spans="1:42" x14ac:dyDescent="0.25">
      <c r="AA18" s="22"/>
      <c r="AB18" s="22"/>
      <c r="AC18" s="22"/>
      <c r="AD18" s="31"/>
      <c r="AE18" s="22"/>
      <c r="AF18" s="22"/>
      <c r="AG18" s="22"/>
      <c r="AH18" s="22"/>
      <c r="AI18" s="22"/>
      <c r="AJ18" s="22"/>
      <c r="AK18" s="22"/>
      <c r="AM18" s="23"/>
      <c r="AN18" s="23"/>
      <c r="AO18" s="24"/>
      <c r="AP18" s="23"/>
    </row>
    <row r="19" spans="1:42" x14ac:dyDescent="0.25">
      <c r="A19" s="22"/>
      <c r="B19" s="22"/>
      <c r="C19" s="22"/>
      <c r="D19" s="32"/>
      <c r="E19" s="22"/>
      <c r="F19" s="22"/>
      <c r="G19" s="22"/>
      <c r="H19" s="22"/>
      <c r="I19" s="22"/>
      <c r="J19" s="22"/>
      <c r="K19" s="22"/>
      <c r="M19" s="23"/>
      <c r="N19" s="23"/>
      <c r="O19" s="24"/>
      <c r="P19" s="23"/>
    </row>
  </sheetData>
  <sheetProtection algorithmName="SHA-512" hashValue="aGzFG/aNgHX1Z51zk7Vq9zLa4ixd5dPjgD7UmnWrUyJU1KXGYX6a8LsJYXBgFSElvdrUyNGrZNs53OJVqx2pJQ==" saltValue="EFCIEbt84+fDlCj8UQs5wA==" spinCount="100000" sheet="1" objects="1" scenarios="1" selectLockedCells="1" selectUnlockedCells="1"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2:AY19"/>
  <sheetViews>
    <sheetView workbookViewId="0"/>
  </sheetViews>
  <sheetFormatPr defaultColWidth="8.85546875" defaultRowHeight="15" x14ac:dyDescent="0.25"/>
  <cols>
    <col min="1" max="1" width="13.28515625" style="21" bestFit="1" customWidth="1"/>
    <col min="2" max="3" width="10.5703125" style="21" bestFit="1" customWidth="1"/>
    <col min="4" max="4" width="8.5703125" style="21" bestFit="1" customWidth="1"/>
    <col min="5" max="8" width="10.5703125" style="21" bestFit="1" customWidth="1"/>
    <col min="9" max="9" width="8.85546875" style="21"/>
    <col min="10" max="10" width="10.5703125" style="21" bestFit="1" customWidth="1"/>
    <col min="11" max="11" width="11.5703125" style="21" bestFit="1" customWidth="1"/>
    <col min="12" max="26" width="8.85546875" style="21"/>
    <col min="27" max="27" width="14.28515625" style="21" bestFit="1" customWidth="1"/>
    <col min="28" max="29" width="10.5703125" style="21" bestFit="1" customWidth="1"/>
    <col min="30" max="30" width="6.140625" style="21" customWidth="1"/>
    <col min="31" max="31" width="10.5703125" style="21" bestFit="1" customWidth="1"/>
    <col min="32" max="32" width="11.5703125" style="21" bestFit="1" customWidth="1"/>
    <col min="33" max="33" width="14.28515625" style="21" bestFit="1" customWidth="1"/>
    <col min="34" max="34" width="11.5703125" style="21" bestFit="1" customWidth="1"/>
    <col min="35" max="35" width="5.140625" style="21" customWidth="1"/>
    <col min="36" max="36" width="11.5703125" style="21" bestFit="1" customWidth="1"/>
    <col min="37" max="37" width="14.28515625" style="21" bestFit="1" customWidth="1"/>
    <col min="38" max="38" width="8.85546875" style="21"/>
    <col min="39" max="40" width="12.42578125" style="21" bestFit="1" customWidth="1"/>
    <col min="41" max="41" width="12.140625" style="21" bestFit="1" customWidth="1"/>
    <col min="42" max="42" width="18.7109375" style="21" bestFit="1" customWidth="1"/>
    <col min="43" max="16384" width="8.85546875" style="21"/>
  </cols>
  <sheetData>
    <row r="2" spans="16:51" x14ac:dyDescent="0.25">
      <c r="P2" s="48">
        <f>IF('Annual 2019-20'!G11="Variable",SUM('Annual 2019-20'!G16:G27),IF('Annual 2019-20'!G11="Monthly",('Annual 2019-20'!G12*12),'Annual 2019-20'!G12))</f>
        <v>70694436</v>
      </c>
    </row>
    <row r="4" spans="16:51" x14ac:dyDescent="0.25">
      <c r="AA4" s="22"/>
      <c r="AF4" s="22"/>
      <c r="AG4" s="22"/>
      <c r="AH4" s="22"/>
      <c r="AI4" s="22"/>
      <c r="AJ4" s="22"/>
      <c r="AK4" s="22"/>
      <c r="AM4" s="23"/>
      <c r="AN4" s="23"/>
      <c r="AO4" s="24"/>
      <c r="AP4" s="23"/>
    </row>
    <row r="5" spans="16:51" x14ac:dyDescent="0.25">
      <c r="AA5" s="22"/>
      <c r="AF5" s="22"/>
      <c r="AG5" s="22"/>
      <c r="AH5" s="22"/>
      <c r="AI5" s="22"/>
      <c r="AJ5" s="22"/>
      <c r="AK5" s="22"/>
      <c r="AM5" s="23"/>
      <c r="AN5" s="23"/>
      <c r="AO5" s="24"/>
      <c r="AP5" s="23"/>
    </row>
    <row r="6" spans="16:51" ht="120" x14ac:dyDescent="0.25">
      <c r="AA6" s="25" t="s">
        <v>0</v>
      </c>
      <c r="AB6" s="26" t="s">
        <v>1</v>
      </c>
      <c r="AC6" s="26" t="s">
        <v>2</v>
      </c>
      <c r="AD6" s="26" t="s">
        <v>5</v>
      </c>
      <c r="AE6" s="26" t="s">
        <v>10</v>
      </c>
      <c r="AF6" s="25" t="s">
        <v>11</v>
      </c>
      <c r="AG6" s="25" t="s">
        <v>12</v>
      </c>
      <c r="AH6" s="25" t="s">
        <v>7</v>
      </c>
      <c r="AI6" s="25" t="s">
        <v>8</v>
      </c>
      <c r="AJ6" s="25" t="s">
        <v>9</v>
      </c>
      <c r="AK6" s="25" t="s">
        <v>6</v>
      </c>
      <c r="AL6" s="27"/>
      <c r="AM6" s="28" t="s">
        <v>1</v>
      </c>
      <c r="AN6" s="28" t="s">
        <v>2</v>
      </c>
      <c r="AO6" s="29" t="s">
        <v>3</v>
      </c>
      <c r="AP6" s="28" t="s">
        <v>4</v>
      </c>
      <c r="AQ6" s="27"/>
      <c r="AR6" s="27"/>
      <c r="AS6" s="27"/>
      <c r="AT6" s="27"/>
      <c r="AU6" s="27"/>
      <c r="AV6" s="27"/>
      <c r="AW6" s="27"/>
      <c r="AX6" s="27"/>
      <c r="AY6" s="27"/>
    </row>
    <row r="7" spans="16:51" x14ac:dyDescent="0.25">
      <c r="AA7" s="30">
        <f>IF('Annual 2019-20'!G11="Variable",SUM('Annual 2019-20'!G16:G27),IF('Annual 2019-20'!G11="Monthly",('Annual 2019-20'!G12*12),'Annual 2019-20'!G12))</f>
        <v>70694436</v>
      </c>
      <c r="AB7" s="22">
        <f>IF(AA7&gt;$AM$17,$AM$17,IF(AA7&gt;$AM$16,$AM$16,IF(AA7&gt;$AM$15,$AM$15,IF(AA7&gt;$AM$14,$AM$14,IF(AA7&gt;$AM$13,$AM$13,IF(AA7&gt;$AM$12,$AM$12,IF(AA7&gt;$AM$11,$AM$11,IF(AA7&gt;$AM$10,$AM$10,IF(AA7&gt;$AM$9,$AM$9,IF(AA7&gt;$AM$8,$AM$8,IF(AA7&gt;=$AM$7,$AM$7,0)))))))))))</f>
        <v>6000000</v>
      </c>
      <c r="AC7" s="22">
        <f>IF(AB7=$AM$7,$AN$7,IF(AB7=$AM$8,$AN$8,IF(AB7=$AM$9,$AN$9,IF(AB7=$AM$10,$AN$10,IF(AB7=$AM$11,$AN$11,IF(AB7=$AM$12,$AN$12,IF(AB7=$AM$13,$AN$13,IF(AB7=$AM$14,$AN$14,IF(AB7=$AM$15,$AN$15,IF(AB7=$AM$16,$AN$16,))))))))))</f>
        <v>6000000</v>
      </c>
      <c r="AD7" s="31">
        <f>IF(AA7&lt;=$AM$7,0,IF(AA7&lt;=$AN$7,$AO$7,IF(AA7&lt;=$AN$8,$AO$8,IF(AA7&lt;=$AN$9,$AO$9,IF(AA7&lt;=$AN$10,$AO$10,IF(AA7&lt;=$AN$11,$AO$11,IF(AA7&lt;=$AN$12,$AO$12,IF(AA7&lt;=$AN$13,$AO$13,IF(AA7&lt;=$AN$14,$AO$14,IF(AA7&lt;=$AN$15,$AO$15,IF(AA7&lt;=$AN$16,$AO$16,$AO$17)))))))))))</f>
        <v>0.35</v>
      </c>
      <c r="AE7" s="22">
        <f>IF(AA7&lt;=$AM$7,0,IF(AA7&lt;=$AN$7,$AP$7,IF(AA7&lt;=$AN$8,$AP$8,IF(AA7&lt;=$AN$9,$AP$9,IF(AA7&lt;=$AN$10,$AP$10,IF(AA7&lt;=$AN$11,$AP$11,IF(AA7&lt;=$AN$12,$AP$12,IF(AA7&lt;=$AN$13,$AP$13,IF(AA7&lt;=$AN$14,$AP$14,IF(AA7&lt;=$AN$15,$AP$15,IF(AA7&lt;=$AN$16,$AP$16,$AP$17)))))))))))</f>
        <v>1220000</v>
      </c>
      <c r="AF7" s="22">
        <f>(AA7)-(IF(AA7&gt;$AM$17,$AM$17,IF(AA7&gt;$AM$16,$AM$16,IF(AA7&gt;$AM$15,$AM$15,IF(AA7&gt;$AM$14,$AM$14,IF(AA7&gt;$AM$13,$AM$13,IF(AA7&gt;$AM$12,$AM$12,IF(AA7&gt;$AM$11,$AM$11,IF(AA7&gt;$AM$10,$AM$10,IF(AA7&gt;$AM$9,$AM$9,IF(AA7&gt;$AM$8,$AM$8,IF(AA7&gt;=$AM$7,$AM$7,0))))))))))))</f>
        <v>64694436</v>
      </c>
      <c r="AG7" s="30">
        <f>AF7*AD7</f>
        <v>22643052.599999998</v>
      </c>
      <c r="AH7" s="22">
        <f>AE7+AG7</f>
        <v>23863052.599999998</v>
      </c>
      <c r="AI7" s="22">
        <v>0</v>
      </c>
      <c r="AJ7" s="22">
        <f>AH7-AI7</f>
        <v>23863052.599999998</v>
      </c>
      <c r="AK7" s="30">
        <f>AJ7/3</f>
        <v>7954350.8666666662</v>
      </c>
      <c r="AM7" s="24">
        <v>400000</v>
      </c>
      <c r="AN7" s="24">
        <v>600000</v>
      </c>
      <c r="AO7" s="33">
        <v>0.05</v>
      </c>
      <c r="AP7" s="36">
        <v>0</v>
      </c>
    </row>
    <row r="8" spans="16:51" x14ac:dyDescent="0.25">
      <c r="AA8" s="22"/>
      <c r="AB8" s="22"/>
      <c r="AC8" s="22"/>
      <c r="AD8" s="31"/>
      <c r="AE8" s="22"/>
      <c r="AF8" s="22"/>
      <c r="AG8" s="22"/>
      <c r="AH8" s="22"/>
      <c r="AI8" s="22"/>
      <c r="AJ8" s="22"/>
      <c r="AK8" s="22"/>
      <c r="AM8" s="24">
        <f>AN7</f>
        <v>600000</v>
      </c>
      <c r="AN8" s="24">
        <v>1200000</v>
      </c>
      <c r="AO8" s="33">
        <v>0.1</v>
      </c>
      <c r="AP8" s="36">
        <v>10000</v>
      </c>
    </row>
    <row r="9" spans="16:51" x14ac:dyDescent="0.25">
      <c r="AA9" s="22"/>
      <c r="AB9" s="22"/>
      <c r="AC9" s="22"/>
      <c r="AD9" s="31"/>
      <c r="AE9" s="22"/>
      <c r="AF9" s="22"/>
      <c r="AG9" s="22"/>
      <c r="AH9" s="22"/>
      <c r="AI9" s="22"/>
      <c r="AJ9" s="22"/>
      <c r="AK9" s="22"/>
      <c r="AM9" s="24">
        <v>1200000</v>
      </c>
      <c r="AN9" s="24">
        <v>2400000</v>
      </c>
      <c r="AO9" s="33">
        <v>0.15</v>
      </c>
      <c r="AP9" s="36">
        <v>70000</v>
      </c>
    </row>
    <row r="10" spans="16:51" x14ac:dyDescent="0.25">
      <c r="AA10" s="22"/>
      <c r="AB10" s="22"/>
      <c r="AC10" s="22"/>
      <c r="AD10" s="32"/>
      <c r="AE10" s="22"/>
      <c r="AF10" s="22"/>
      <c r="AG10" s="22"/>
      <c r="AH10" s="22"/>
      <c r="AI10" s="22"/>
      <c r="AJ10" s="22"/>
      <c r="AK10" s="22"/>
      <c r="AM10" s="24">
        <v>2400000</v>
      </c>
      <c r="AN10" s="24">
        <v>3000000</v>
      </c>
      <c r="AO10" s="33">
        <v>0.2</v>
      </c>
      <c r="AP10" s="36">
        <v>250000</v>
      </c>
    </row>
    <row r="11" spans="16:51" x14ac:dyDescent="0.25">
      <c r="AA11" s="22"/>
      <c r="AB11" s="22"/>
      <c r="AC11" s="22"/>
      <c r="AD11" s="31"/>
      <c r="AE11" s="22"/>
      <c r="AF11" s="22"/>
      <c r="AG11" s="22"/>
      <c r="AH11" s="22"/>
      <c r="AI11" s="22"/>
      <c r="AJ11" s="22"/>
      <c r="AK11" s="22"/>
      <c r="AM11" s="24">
        <f>AN10</f>
        <v>3000000</v>
      </c>
      <c r="AN11" s="24">
        <v>4000000</v>
      </c>
      <c r="AO11" s="33">
        <v>0.25</v>
      </c>
      <c r="AP11" s="36">
        <v>370000</v>
      </c>
    </row>
    <row r="12" spans="16:51" x14ac:dyDescent="0.25">
      <c r="AA12" s="22"/>
      <c r="AB12" s="22"/>
      <c r="AC12" s="22"/>
      <c r="AD12" s="31"/>
      <c r="AE12" s="22"/>
      <c r="AF12" s="22"/>
      <c r="AG12" s="22"/>
      <c r="AH12" s="22"/>
      <c r="AI12" s="22"/>
      <c r="AJ12" s="22"/>
      <c r="AK12" s="22"/>
      <c r="AM12" s="24">
        <f>AN11</f>
        <v>4000000</v>
      </c>
      <c r="AN12" s="24">
        <v>6000000</v>
      </c>
      <c r="AO12" s="33">
        <v>0.3</v>
      </c>
      <c r="AP12" s="36">
        <v>620000</v>
      </c>
    </row>
    <row r="13" spans="16:51" x14ac:dyDescent="0.25">
      <c r="AA13" s="22"/>
      <c r="AB13" s="22"/>
      <c r="AC13" s="22"/>
      <c r="AD13" s="31"/>
      <c r="AE13" s="22"/>
      <c r="AF13" s="22"/>
      <c r="AG13" s="22"/>
      <c r="AH13" s="22"/>
      <c r="AI13" s="22"/>
      <c r="AJ13" s="22"/>
      <c r="AK13" s="22"/>
      <c r="AM13" s="24">
        <f t="shared" ref="AM13:AM17" si="0">AN12</f>
        <v>6000000</v>
      </c>
      <c r="AN13" s="24">
        <v>6000000</v>
      </c>
      <c r="AO13" s="33">
        <v>0.35</v>
      </c>
      <c r="AP13" s="36">
        <v>1220000</v>
      </c>
    </row>
    <row r="14" spans="16:51" x14ac:dyDescent="0.25">
      <c r="AA14" s="22"/>
      <c r="AB14" s="22"/>
      <c r="AC14" s="22"/>
      <c r="AD14" s="32"/>
      <c r="AE14" s="22"/>
      <c r="AF14" s="22"/>
      <c r="AG14" s="22"/>
      <c r="AH14" s="22"/>
      <c r="AI14" s="22"/>
      <c r="AJ14" s="22"/>
      <c r="AK14" s="22"/>
      <c r="AM14" s="24">
        <f t="shared" si="0"/>
        <v>6000000</v>
      </c>
      <c r="AN14" s="24">
        <v>6000000</v>
      </c>
      <c r="AO14" s="33">
        <v>0.35</v>
      </c>
      <c r="AP14" s="36">
        <v>1220000</v>
      </c>
    </row>
    <row r="15" spans="16:51" x14ac:dyDescent="0.25">
      <c r="AA15" s="22"/>
      <c r="AB15" s="22"/>
      <c r="AC15" s="22"/>
      <c r="AD15" s="31"/>
      <c r="AE15" s="22"/>
      <c r="AF15" s="22"/>
      <c r="AG15" s="22"/>
      <c r="AH15" s="22"/>
      <c r="AI15" s="22"/>
      <c r="AJ15" s="22"/>
      <c r="AK15" s="22"/>
      <c r="AM15" s="24">
        <f t="shared" si="0"/>
        <v>6000000</v>
      </c>
      <c r="AN15" s="24">
        <v>6000000</v>
      </c>
      <c r="AO15" s="33">
        <v>0.35</v>
      </c>
      <c r="AP15" s="36">
        <v>1220000</v>
      </c>
    </row>
    <row r="16" spans="16:51" x14ac:dyDescent="0.25">
      <c r="AA16" s="22"/>
      <c r="AB16" s="22"/>
      <c r="AC16" s="22"/>
      <c r="AD16" s="31"/>
      <c r="AE16" s="22"/>
      <c r="AF16" s="22"/>
      <c r="AG16" s="22"/>
      <c r="AH16" s="22"/>
      <c r="AI16" s="22"/>
      <c r="AJ16" s="22"/>
      <c r="AK16" s="22"/>
      <c r="AM16" s="24">
        <f t="shared" si="0"/>
        <v>6000000</v>
      </c>
      <c r="AN16" s="24">
        <v>6000000</v>
      </c>
      <c r="AO16" s="33">
        <v>0.35</v>
      </c>
      <c r="AP16" s="36">
        <v>1220000</v>
      </c>
    </row>
    <row r="17" spans="1:42" x14ac:dyDescent="0.25">
      <c r="AA17" s="22"/>
      <c r="AB17" s="22"/>
      <c r="AC17" s="22"/>
      <c r="AD17" s="31"/>
      <c r="AE17" s="22"/>
      <c r="AF17" s="22"/>
      <c r="AG17" s="22"/>
      <c r="AH17" s="22"/>
      <c r="AI17" s="22"/>
      <c r="AJ17" s="22"/>
      <c r="AK17" s="22"/>
      <c r="AM17" s="24">
        <f t="shared" si="0"/>
        <v>6000000</v>
      </c>
      <c r="AN17" s="24"/>
      <c r="AO17" s="33">
        <v>0.35</v>
      </c>
      <c r="AP17" s="36">
        <v>1220000</v>
      </c>
    </row>
    <row r="18" spans="1:42" x14ac:dyDescent="0.25">
      <c r="AA18" s="22"/>
      <c r="AB18" s="22"/>
      <c r="AC18" s="22"/>
      <c r="AD18" s="31"/>
      <c r="AE18" s="22"/>
      <c r="AF18" s="22"/>
      <c r="AG18" s="22"/>
      <c r="AH18" s="22"/>
      <c r="AI18" s="22"/>
      <c r="AJ18" s="22"/>
      <c r="AK18" s="22"/>
      <c r="AM18" s="23"/>
      <c r="AN18" s="23"/>
      <c r="AO18" s="24"/>
      <c r="AP18" s="23"/>
    </row>
    <row r="19" spans="1:42" x14ac:dyDescent="0.25">
      <c r="A19" s="22"/>
      <c r="B19" s="22"/>
      <c r="C19" s="22"/>
      <c r="D19" s="32"/>
      <c r="E19" s="22"/>
      <c r="F19" s="22"/>
      <c r="G19" s="22"/>
      <c r="H19" s="22"/>
      <c r="I19" s="22"/>
      <c r="J19" s="22"/>
      <c r="K19" s="22"/>
      <c r="M19" s="23"/>
      <c r="N19" s="23"/>
      <c r="O19" s="24"/>
      <c r="P19" s="23"/>
    </row>
  </sheetData>
  <sheetProtection algorithmName="SHA-512" hashValue="q6HAEa9CPtNTeihzkuRR6W6MB9Ln7Dy1JQsfBOPZuOAL3zmfnudFQkJZXJ6k02jtuKMaung9sfPNRZ3VSWYjCQ==" saltValue="l8iJ5Y7D3H6fB0Lh9/azRQ==" spinCount="100000" sheet="1" objects="1" scenarios="1" selectLockedCells="1" selectUnlockedCell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Annual 2019-20</vt:lpstr>
      <vt:lpstr>Working Sheet</vt:lpstr>
      <vt:lpstr>Working Sheet BI</vt:lpstr>
      <vt:lpstr>Working Sheet AOP</vt:lpstr>
      <vt:lpstr>'Annual 2019-20'!Print_Area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2022-08-09T16:14:29Z</dcterms:modified>
</cp:coreProperties>
</file>